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22"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<sst xmlns="http://schemas.openxmlformats.org/spreadsheetml/2006/main" count="31" uniqueCount="29">
  <si>
    <t xml:space="preserve">Schätzung des Bewässerungsbedarfs eines Baumes </t>
  </si>
  <si>
    <t>Katharina Weltecke 2021</t>
  </si>
  <si>
    <t>Benötigte Vorabinformationen:</t>
  </si>
  <si>
    <t>Standraum</t>
  </si>
  <si>
    <t>m²</t>
  </si>
  <si>
    <t>Versiegelungsgrad</t>
  </si>
  <si>
    <t>%</t>
  </si>
  <si>
    <t>Durchwurzelungstiefe</t>
  </si>
  <si>
    <t>dm</t>
  </si>
  <si>
    <t>Wasserbedarf*</t>
  </si>
  <si>
    <t>mm bzw l/m²</t>
  </si>
  <si>
    <t>nutzbare Wasserspeicherkapazität (nWsk) des Bodens</t>
  </si>
  <si>
    <t>% bzw mm/dm</t>
  </si>
  <si>
    <t>Bodenspeicher**</t>
  </si>
  <si>
    <t>40 % des Bodenspeichers → Punkt ab dem gewässert werden sollte</t>
  </si>
  <si>
    <t>Maximal zu befüllender Bodenwasserspeicher: 80 %</t>
  </si>
  <si>
    <t>Dauer der Vegetationsperiode (gemäß Klimadiagramm → Monate, an denen die Durchschnittstemperatur &gt; 10 °C ist; entspricht etwa der Zeit, in der die Bäume belaubt sind)</t>
  </si>
  <si>
    <t>* Der Wasserverbrauch im Wald liegt bei 3 – 5 mm pro m² Schirmfläche (Wullschleger et al 1998). Dies ist lediglich eine grobe Annäherung und hängt stark von der Baumart, Alter, Standort und Witterung ab.</t>
  </si>
  <si>
    <t>** Es wird davon ausgegangen, dass der Bodenspeicher zu Beginn der Vegetationsperiode gefüllt ist.</t>
  </si>
  <si>
    <t>Rechnung:</t>
  </si>
  <si>
    <t>Vom Prinzip her wird vom verfügbaren Wasser der Verbrauch subtrahiert. Verfügbar ist das Wasser aus dem Bodenspeicher sowie der Niederschlag abzüglich dessen, was durch die Versiegelung verloren geht (vgl. Roth-Kleyer 2016, FLL 2015).</t>
  </si>
  <si>
    <t>Beispiel Göttingen</t>
  </si>
  <si>
    <t xml:space="preserve"> Woche</t>
  </si>
  <si>
    <t>Niederschlag [mm bzw L/m²]</t>
  </si>
  <si>
    <t>Restwasser
L/m²</t>
  </si>
  <si>
    <t>Wässern mit [L]</t>
  </si>
  <si>
    <t>Wässern des gesamten Standraumes [L]</t>
  </si>
  <si>
    <t>Die Rechnung ist so eingestellt, dass eine Bewässerung erfolgen sollte, sobald der Bodenwasserspeicher bis auf 40 % geleert ist. Wenn in Spalte D negative Zahlen auftauchen, bedeutet das, dass der Wasserspeicher leer ist und die Bewässerungsintervalle ggf. verkürzt werden müssen. Grundsätzlich wird nur soviel gewässert, bis der Bodenwasserspeicher (nWSK) zu 80 % gefüllt ist (FLL 2015), um eine Vernässung zu vermeiden. Wird eine länger andauernde Trockenheit erwartet, kann der Bodenwasserspeicher auch komplett gefüllt werden. 
Gegen Ende des Jahres kann ggf. in Erwartung auf die Herbst- und Winterniederschläge das Gießen reduziert werden und komplett entfallen.</t>
  </si>
  <si>
    <t>Summe</t>
  </si>
</sst>
</file>

<file path=xl/styles.xml><?xml version="1.0" encoding="utf-8"?>
<styleSheet xmlns="http://schemas.openxmlformats.org/spreadsheetml/2006/main">
  <numFmts count="5">
    <numFmt numFmtId="164" formatCode="GENERAL"/>
    <numFmt numFmtId="165" formatCode="0"/>
    <numFmt numFmtId="166" formatCode="DD/MMM"/>
    <numFmt numFmtId="167" formatCode="0.0"/>
    <numFmt numFmtId="168" formatCode="#,##0"/>
  </numFmts>
  <fonts count="5">
    <font>
      <sz val="10"/>
      <name val="Arial"/>
      <family val="2"/>
    </font>
    <font>
      <b/>
      <sz val="12"/>
      <name val="Arial"/>
      <family val="2"/>
    </font>
    <font>
      <sz val="12"/>
      <name val="Arial"/>
      <family val="2"/>
    </font>
    <font>
      <sz val="12"/>
      <color indexed="10"/>
      <name val="Arial"/>
      <family val="2"/>
    </font>
    <font>
      <b/>
      <sz val="10"/>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0" fillId="0" borderId="0" xfId="0" applyAlignment="1">
      <alignment wrapText="1"/>
    </xf>
    <xf numFmtId="164" fontId="1" fillId="0" borderId="0" xfId="0" applyFont="1" applyAlignment="1">
      <alignment wrapText="1"/>
    </xf>
    <xf numFmtId="164" fontId="2" fillId="0" borderId="0" xfId="0" applyFont="1" applyAlignment="1">
      <alignment wrapText="1"/>
    </xf>
    <xf numFmtId="164" fontId="1" fillId="0" borderId="0" xfId="0" applyFont="1" applyBorder="1" applyAlignment="1">
      <alignment wrapText="1"/>
    </xf>
    <xf numFmtId="164" fontId="2" fillId="0" borderId="1" xfId="0" applyFont="1" applyBorder="1" applyAlignment="1">
      <alignment wrapText="1"/>
    </xf>
    <xf numFmtId="165" fontId="2" fillId="0" borderId="1" xfId="0" applyNumberFormat="1" applyFont="1" applyBorder="1" applyAlignment="1">
      <alignment wrapText="1"/>
    </xf>
    <xf numFmtId="164" fontId="3" fillId="0" borderId="1" xfId="0" applyFont="1" applyBorder="1" applyAlignment="1">
      <alignment wrapText="1"/>
    </xf>
    <xf numFmtId="164" fontId="2" fillId="0" borderId="0" xfId="0" applyFont="1" applyAlignment="1">
      <alignment vertical="top" wrapText="1"/>
    </xf>
    <xf numFmtId="164" fontId="2" fillId="0" borderId="0" xfId="0" applyFont="1" applyBorder="1" applyAlignment="1">
      <alignment wrapText="1"/>
    </xf>
    <xf numFmtId="164" fontId="0" fillId="0" borderId="0" xfId="0" applyFont="1" applyAlignment="1">
      <alignment wrapText="1"/>
    </xf>
    <xf numFmtId="164" fontId="1" fillId="0" borderId="0" xfId="0" applyFont="1" applyAlignment="1">
      <alignment horizontal="center" wrapText="1"/>
    </xf>
    <xf numFmtId="164" fontId="1" fillId="0" borderId="1" xfId="0" applyFont="1" applyBorder="1" applyAlignment="1">
      <alignment horizontal="right" wrapText="1"/>
    </xf>
    <xf numFmtId="164" fontId="1" fillId="0" borderId="1" xfId="0" applyFont="1" applyBorder="1" applyAlignment="1">
      <alignment horizontal="center" wrapText="1"/>
    </xf>
    <xf numFmtId="166" fontId="2" fillId="0" borderId="1" xfId="0" applyNumberFormat="1" applyFont="1" applyBorder="1" applyAlignment="1">
      <alignment wrapText="1"/>
    </xf>
    <xf numFmtId="167" fontId="2" fillId="0" borderId="1" xfId="0" applyNumberFormat="1" applyFont="1" applyBorder="1" applyAlignment="1">
      <alignment horizontal="center" wrapText="1"/>
    </xf>
    <xf numFmtId="168" fontId="0" fillId="0" borderId="1" xfId="0" applyNumberFormat="1" applyBorder="1" applyAlignment="1">
      <alignment horizontal="center"/>
    </xf>
    <xf numFmtId="164" fontId="4" fillId="0" borderId="1" xfId="0" applyFont="1" applyBorder="1" applyAlignment="1">
      <alignment horizontal="right" wrapText="1"/>
    </xf>
    <xf numFmtId="167" fontId="1" fillId="0" borderId="1" xfId="0" applyNumberFormat="1" applyFont="1" applyBorder="1" applyAlignment="1">
      <alignment horizontal="center" wrapText="1"/>
    </xf>
    <xf numFmtId="168" fontId="4" fillId="0" borderId="1" xfId="0" applyNumberFormat="1" applyFont="1" applyBorder="1" applyAlignment="1">
      <alignment horizontal="center"/>
    </xf>
    <xf numFmtId="164"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0</xdr:rowOff>
    </xdr:from>
    <xdr:to>
      <xdr:col>12</xdr:col>
      <xdr:colOff>733425</xdr:colOff>
      <xdr:row>19</xdr:row>
      <xdr:rowOff>57150</xdr:rowOff>
    </xdr:to>
    <xdr:pic>
      <xdr:nvPicPr>
        <xdr:cNvPr id="1" name="Grafik 1"/>
        <xdr:cNvPicPr preferRelativeResize="1">
          <a:picLocks noChangeAspect="1"/>
        </xdr:cNvPicPr>
      </xdr:nvPicPr>
      <xdr:blipFill>
        <a:blip r:embed="rId1"/>
        <a:stretch>
          <a:fillRect/>
        </a:stretch>
      </xdr:blipFill>
      <xdr:spPr>
        <a:xfrm>
          <a:off x="9267825" y="0"/>
          <a:ext cx="5181600" cy="3133725"/>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51"/>
  <sheetViews>
    <sheetView tabSelected="1" zoomScale="89" zoomScaleNormal="89" workbookViewId="0" topLeftCell="A1">
      <selection activeCell="E28" sqref="E28"/>
    </sheetView>
  </sheetViews>
  <sheetFormatPr defaultColWidth="12.57421875" defaultRowHeight="12.75"/>
  <cols>
    <col min="1" max="1" width="63.421875" style="1" customWidth="1"/>
    <col min="2" max="2" width="7.8515625" style="1" customWidth="1"/>
    <col min="3" max="3" width="18.00390625" style="1" customWidth="1"/>
    <col min="4" max="4" width="15.140625" style="1" customWidth="1"/>
    <col min="5" max="5" width="14.28125" style="1" customWidth="1"/>
    <col min="6" max="6" width="17.57421875" style="1" customWidth="1"/>
    <col min="7" max="16384" width="11.57421875" style="1" customWidth="1"/>
  </cols>
  <sheetData>
    <row r="1" spans="1:15" ht="12.75">
      <c r="A1" s="2" t="s">
        <v>0</v>
      </c>
      <c r="B1" s="3"/>
      <c r="C1" s="3"/>
      <c r="D1" s="3"/>
      <c r="E1" s="3"/>
      <c r="F1" s="3"/>
      <c r="G1" s="3"/>
      <c r="H1" s="3"/>
      <c r="I1" s="3"/>
      <c r="J1" s="3"/>
      <c r="K1" s="3"/>
      <c r="L1" s="3"/>
      <c r="M1" s="3"/>
      <c r="N1" s="3"/>
      <c r="O1" s="3"/>
    </row>
    <row r="2" spans="1:15" ht="12.75">
      <c r="A2" s="3" t="s">
        <v>1</v>
      </c>
      <c r="B2" s="3"/>
      <c r="C2" s="3"/>
      <c r="D2" s="3"/>
      <c r="E2" s="3"/>
      <c r="F2" s="3"/>
      <c r="G2" s="3"/>
      <c r="H2" s="3"/>
      <c r="I2" s="3"/>
      <c r="J2" s="3"/>
      <c r="K2" s="3"/>
      <c r="L2" s="3"/>
      <c r="M2" s="3"/>
      <c r="N2" s="3"/>
      <c r="O2" s="3"/>
    </row>
    <row r="3" spans="1:15" ht="12.75">
      <c r="A3" s="3"/>
      <c r="B3" s="3"/>
      <c r="C3" s="3"/>
      <c r="D3" s="3"/>
      <c r="E3" s="3"/>
      <c r="F3" s="3"/>
      <c r="G3" s="3"/>
      <c r="H3" s="3"/>
      <c r="I3" s="3"/>
      <c r="J3" s="3"/>
      <c r="K3" s="3"/>
      <c r="L3" s="3"/>
      <c r="M3" s="3"/>
      <c r="N3" s="3"/>
      <c r="O3" s="3"/>
    </row>
    <row r="4" spans="1:15" ht="12.75" customHeight="1">
      <c r="A4" s="4" t="s">
        <v>2</v>
      </c>
      <c r="B4" s="4"/>
      <c r="C4" s="4"/>
      <c r="D4" s="4"/>
      <c r="E4" s="3"/>
      <c r="F4" s="3"/>
      <c r="G4" s="3"/>
      <c r="H4" s="3"/>
      <c r="I4" s="3"/>
      <c r="J4" s="3"/>
      <c r="K4" s="3"/>
      <c r="L4" s="3"/>
      <c r="M4" s="3"/>
      <c r="N4" s="3"/>
      <c r="O4" s="3"/>
    </row>
    <row r="5" spans="1:15" ht="12.75">
      <c r="A5" s="5" t="s">
        <v>3</v>
      </c>
      <c r="B5" s="5">
        <v>2</v>
      </c>
      <c r="C5" s="5"/>
      <c r="D5" s="5" t="s">
        <v>4</v>
      </c>
      <c r="E5" s="3"/>
      <c r="F5" s="3"/>
      <c r="G5" s="3"/>
      <c r="H5" s="3"/>
      <c r="I5" s="3"/>
      <c r="J5" s="3"/>
      <c r="K5" s="3"/>
      <c r="L5" s="3"/>
      <c r="M5" s="3"/>
      <c r="N5" s="3"/>
      <c r="O5" s="3"/>
    </row>
    <row r="6" spans="1:15" ht="12.75">
      <c r="A6" s="5" t="s">
        <v>5</v>
      </c>
      <c r="B6" s="6">
        <v>0</v>
      </c>
      <c r="C6" s="6"/>
      <c r="D6" s="5" t="s">
        <v>6</v>
      </c>
      <c r="E6" s="3"/>
      <c r="F6" s="3"/>
      <c r="G6" s="3"/>
      <c r="H6" s="3"/>
      <c r="I6" s="3"/>
      <c r="J6" s="3"/>
      <c r="K6" s="3"/>
      <c r="L6" s="3"/>
      <c r="M6" s="3"/>
      <c r="N6" s="3"/>
      <c r="O6" s="3"/>
    </row>
    <row r="7" spans="1:15" ht="12.75">
      <c r="A7" s="5" t="s">
        <v>7</v>
      </c>
      <c r="B7" s="5">
        <v>6</v>
      </c>
      <c r="C7" s="5"/>
      <c r="D7" s="5" t="s">
        <v>8</v>
      </c>
      <c r="E7" s="3"/>
      <c r="F7" s="3"/>
      <c r="G7" s="3"/>
      <c r="H7" s="3"/>
      <c r="I7" s="3"/>
      <c r="J7" s="3"/>
      <c r="K7" s="3"/>
      <c r="L7" s="3"/>
      <c r="M7" s="3"/>
      <c r="N7" s="3"/>
      <c r="O7" s="3"/>
    </row>
    <row r="8" spans="1:15" ht="12.75">
      <c r="A8" s="5" t="s">
        <v>9</v>
      </c>
      <c r="B8" s="5">
        <v>4</v>
      </c>
      <c r="C8" s="5"/>
      <c r="D8" s="5" t="s">
        <v>10</v>
      </c>
      <c r="E8" s="3"/>
      <c r="F8" s="3"/>
      <c r="G8" s="3"/>
      <c r="H8" s="3"/>
      <c r="I8" s="3"/>
      <c r="J8" s="3"/>
      <c r="K8" s="3"/>
      <c r="L8" s="3"/>
      <c r="M8" s="3"/>
      <c r="N8" s="3"/>
      <c r="O8" s="3"/>
    </row>
    <row r="9" spans="1:15" ht="12.75">
      <c r="A9" s="5" t="s">
        <v>11</v>
      </c>
      <c r="B9" s="5">
        <v>20</v>
      </c>
      <c r="C9" s="5"/>
      <c r="D9" s="5" t="s">
        <v>12</v>
      </c>
      <c r="E9" s="3"/>
      <c r="F9" s="3"/>
      <c r="G9" s="3"/>
      <c r="H9" s="3"/>
      <c r="I9" s="3"/>
      <c r="J9" s="3"/>
      <c r="K9" s="3"/>
      <c r="L9" s="3"/>
      <c r="M9" s="3"/>
      <c r="N9" s="3"/>
      <c r="O9" s="3"/>
    </row>
    <row r="10" spans="1:15" ht="12.75">
      <c r="A10" s="5" t="s">
        <v>13</v>
      </c>
      <c r="B10" s="5">
        <f>B9*B7</f>
        <v>120</v>
      </c>
      <c r="C10" s="7"/>
      <c r="D10" s="5" t="s">
        <v>10</v>
      </c>
      <c r="E10" s="8"/>
      <c r="F10" s="8"/>
      <c r="G10" s="3"/>
      <c r="H10" s="3"/>
      <c r="I10" s="3"/>
      <c r="J10" s="3"/>
      <c r="K10" s="3"/>
      <c r="L10" s="3"/>
      <c r="M10" s="3"/>
      <c r="N10" s="3"/>
      <c r="O10" s="3"/>
    </row>
    <row r="11" spans="1:15" ht="12.75">
      <c r="A11" s="5" t="s">
        <v>14</v>
      </c>
      <c r="B11" s="5">
        <f>B10/100*40</f>
        <v>48</v>
      </c>
      <c r="C11" s="7"/>
      <c r="D11" s="5" t="s">
        <v>10</v>
      </c>
      <c r="E11" s="8"/>
      <c r="F11" s="3"/>
      <c r="G11" s="3"/>
      <c r="H11" s="3"/>
      <c r="I11" s="3"/>
      <c r="J11" s="3"/>
      <c r="K11" s="3"/>
      <c r="L11" s="3"/>
      <c r="M11" s="3"/>
      <c r="N11" s="3"/>
      <c r="O11" s="3"/>
    </row>
    <row r="12" spans="1:15" ht="12.75">
      <c r="A12" s="5" t="s">
        <v>15</v>
      </c>
      <c r="B12" s="5">
        <f>B10/100*80</f>
        <v>96</v>
      </c>
      <c r="C12" s="7"/>
      <c r="D12" s="5"/>
      <c r="E12" s="8"/>
      <c r="F12" s="3"/>
      <c r="G12" s="3"/>
      <c r="H12" s="3"/>
      <c r="I12" s="3"/>
      <c r="J12" s="3"/>
      <c r="K12" s="3"/>
      <c r="L12" s="3"/>
      <c r="M12" s="3"/>
      <c r="N12" s="3"/>
      <c r="O12" s="3"/>
    </row>
    <row r="13" spans="1:15" ht="12.75">
      <c r="A13" s="5" t="s">
        <v>16</v>
      </c>
      <c r="B13" s="5">
        <v>214</v>
      </c>
      <c r="C13" s="5"/>
      <c r="D13" s="5"/>
      <c r="E13" s="3"/>
      <c r="F13" s="3"/>
      <c r="G13" s="3"/>
      <c r="H13" s="3"/>
      <c r="I13" s="3"/>
      <c r="J13" s="3"/>
      <c r="K13" s="3"/>
      <c r="L13" s="3"/>
      <c r="M13" s="3"/>
      <c r="N13" s="3"/>
      <c r="O13" s="3"/>
    </row>
    <row r="14" spans="1:15" ht="12.75">
      <c r="A14" s="9"/>
      <c r="B14" s="9"/>
      <c r="C14" s="9"/>
      <c r="D14" s="9"/>
      <c r="E14" s="3"/>
      <c r="F14" s="3"/>
      <c r="G14" s="3"/>
      <c r="H14" s="3"/>
      <c r="I14" s="3"/>
      <c r="J14" s="3"/>
      <c r="K14" s="3"/>
      <c r="L14" s="3"/>
      <c r="M14" s="3"/>
      <c r="N14" s="3"/>
      <c r="O14" s="3"/>
    </row>
    <row r="15" spans="1:15" ht="12.75">
      <c r="A15" s="3"/>
      <c r="B15" s="9"/>
      <c r="C15" s="9"/>
      <c r="D15" s="9"/>
      <c r="E15" s="3"/>
      <c r="F15" s="3"/>
      <c r="G15" s="3"/>
      <c r="H15" s="3"/>
      <c r="I15" s="3"/>
      <c r="J15" s="3"/>
      <c r="K15" s="3"/>
      <c r="L15" s="3"/>
      <c r="M15" s="3"/>
      <c r="N15" s="3"/>
      <c r="O15" s="3"/>
    </row>
    <row r="16" spans="1:15" ht="12.75" customHeight="1">
      <c r="A16" s="10" t="s">
        <v>17</v>
      </c>
      <c r="B16" s="10"/>
      <c r="C16" s="10"/>
      <c r="D16" s="10"/>
      <c r="E16" s="10"/>
      <c r="F16" s="10"/>
      <c r="G16" s="3"/>
      <c r="H16" s="3"/>
      <c r="I16" s="3"/>
      <c r="J16" s="3"/>
      <c r="K16" s="3"/>
      <c r="L16" s="3"/>
      <c r="M16" s="3"/>
      <c r="N16" s="3"/>
      <c r="O16" s="3"/>
    </row>
    <row r="17" spans="1:15" ht="12.75" customHeight="1">
      <c r="A17" s="10" t="s">
        <v>18</v>
      </c>
      <c r="B17" s="10"/>
      <c r="C17" s="10"/>
      <c r="D17" s="10"/>
      <c r="E17" s="10"/>
      <c r="F17" s="10"/>
      <c r="G17" s="3"/>
      <c r="H17" s="3"/>
      <c r="I17" s="3"/>
      <c r="J17" s="3"/>
      <c r="K17" s="3"/>
      <c r="L17" s="3"/>
      <c r="M17" s="3"/>
      <c r="N17" s="3"/>
      <c r="O17" s="3"/>
    </row>
    <row r="18" spans="1:15" ht="12.75">
      <c r="A18" s="3"/>
      <c r="B18" s="3"/>
      <c r="C18" s="3"/>
      <c r="D18" s="3"/>
      <c r="E18" s="3"/>
      <c r="F18" s="3"/>
      <c r="G18" s="3"/>
      <c r="H18" s="3"/>
      <c r="I18" s="3"/>
      <c r="J18" s="3"/>
      <c r="K18" s="3"/>
      <c r="L18" s="3"/>
      <c r="M18" s="3"/>
      <c r="N18" s="3"/>
      <c r="O18" s="3"/>
    </row>
    <row r="19" spans="1:15" ht="12.75">
      <c r="A19" s="3"/>
      <c r="B19" s="3"/>
      <c r="C19" s="3"/>
      <c r="D19" s="3"/>
      <c r="E19" s="3"/>
      <c r="F19" s="3"/>
      <c r="G19" s="3"/>
      <c r="H19" s="3"/>
      <c r="I19" s="3"/>
      <c r="J19" s="3"/>
      <c r="K19" s="3"/>
      <c r="L19" s="3"/>
      <c r="M19" s="3"/>
      <c r="N19" s="3"/>
      <c r="O19" s="3"/>
    </row>
    <row r="20" spans="1:15" ht="12.75" customHeight="1">
      <c r="A20" s="11" t="s">
        <v>19</v>
      </c>
      <c r="B20" s="11"/>
      <c r="C20" s="11"/>
      <c r="D20" s="11"/>
      <c r="E20" s="11"/>
      <c r="F20" s="11"/>
      <c r="G20" s="3"/>
      <c r="H20" s="3"/>
      <c r="I20" s="3"/>
      <c r="J20" s="3"/>
      <c r="K20" s="3"/>
      <c r="L20" s="3"/>
      <c r="M20" s="3"/>
      <c r="N20" s="3"/>
      <c r="O20" s="3"/>
    </row>
    <row r="21" spans="1:15" ht="12.75" customHeight="1">
      <c r="A21" s="9" t="s">
        <v>20</v>
      </c>
      <c r="B21" s="9"/>
      <c r="C21" s="9"/>
      <c r="D21" s="9"/>
      <c r="E21" s="9"/>
      <c r="F21" s="9"/>
      <c r="G21" s="3"/>
      <c r="H21" s="3"/>
      <c r="I21" s="3"/>
      <c r="J21" s="3"/>
      <c r="K21" s="3"/>
      <c r="L21" s="3"/>
      <c r="M21" s="3"/>
      <c r="N21" s="3"/>
      <c r="O21" s="3"/>
    </row>
    <row r="22" spans="1:15" ht="12.75">
      <c r="A22" s="3"/>
      <c r="B22" s="3"/>
      <c r="C22" s="3"/>
      <c r="D22" s="3"/>
      <c r="E22" s="3"/>
      <c r="F22" s="3"/>
      <c r="G22" s="3"/>
      <c r="H22" s="3"/>
      <c r="I22" s="3"/>
      <c r="J22" s="3"/>
      <c r="K22" s="3"/>
      <c r="L22" s="3"/>
      <c r="M22" s="3"/>
      <c r="N22" s="3"/>
      <c r="O22" s="3"/>
    </row>
    <row r="23" spans="1:15" ht="12.75">
      <c r="A23" s="3" t="s">
        <v>21</v>
      </c>
      <c r="B23" s="3"/>
      <c r="C23" s="3"/>
      <c r="D23" s="3"/>
      <c r="E23" s="3"/>
      <c r="F23" s="3"/>
      <c r="G23" s="3"/>
      <c r="H23" s="3"/>
      <c r="I23" s="3"/>
      <c r="J23" s="3"/>
      <c r="K23" s="3"/>
      <c r="L23" s="3"/>
      <c r="M23" s="3"/>
      <c r="N23" s="3"/>
      <c r="O23" s="3"/>
    </row>
    <row r="24" spans="1:15" ht="12.75" customHeight="1">
      <c r="A24" s="12" t="s">
        <v>22</v>
      </c>
      <c r="B24" s="12"/>
      <c r="C24" s="13" t="s">
        <v>23</v>
      </c>
      <c r="D24" s="13" t="s">
        <v>24</v>
      </c>
      <c r="E24" s="13" t="s">
        <v>25</v>
      </c>
      <c r="F24" s="13" t="s">
        <v>26</v>
      </c>
      <c r="G24" s="3"/>
      <c r="H24" s="3"/>
      <c r="I24" s="3"/>
      <c r="J24" s="3"/>
      <c r="K24" s="3"/>
      <c r="L24" s="3"/>
      <c r="M24" s="3"/>
      <c r="N24" s="3"/>
      <c r="O24" s="3"/>
    </row>
    <row r="25" spans="1:15" ht="12.75">
      <c r="A25" s="14">
        <v>43570</v>
      </c>
      <c r="B25" s="14">
        <v>43576</v>
      </c>
      <c r="C25" s="15">
        <f>43/30*7</f>
        <v>10.033333333333333</v>
      </c>
      <c r="D25" s="15">
        <f>B10+(C25-(C25/100*B6))-B8*7</f>
        <v>102.03333333333333</v>
      </c>
      <c r="E25" s="16">
        <f>IF(D25&lt;$B$11,IF(D25&lt;0,$B$10,$B$12-D25),0)</f>
        <v>0</v>
      </c>
      <c r="F25" s="16">
        <f>E25*$B$5</f>
        <v>0</v>
      </c>
      <c r="G25" s="3"/>
      <c r="H25" s="3"/>
      <c r="I25" s="3"/>
      <c r="J25" s="3"/>
      <c r="K25" s="3"/>
      <c r="L25" s="3"/>
      <c r="M25" s="3"/>
      <c r="N25" s="3"/>
      <c r="O25" s="3"/>
    </row>
    <row r="26" spans="1:15" ht="12.75">
      <c r="A26" s="14">
        <v>43577</v>
      </c>
      <c r="B26" s="14">
        <v>43583</v>
      </c>
      <c r="C26" s="15">
        <f>43/30*7</f>
        <v>10.033333333333333</v>
      </c>
      <c r="D26" s="15">
        <f>D25+E25+(C26-(C26/100*$B$6))-$B$8*7</f>
        <v>84.06666666666666</v>
      </c>
      <c r="E26" s="16">
        <f>IF(D26&lt;$B$11,IF(D26&lt;0,$B$10,$B$12-D26),0)</f>
        <v>0</v>
      </c>
      <c r="F26" s="16">
        <f>E26*$B$5</f>
        <v>0</v>
      </c>
      <c r="G26" s="3"/>
      <c r="H26" s="3"/>
      <c r="I26" s="3"/>
      <c r="J26" s="3"/>
      <c r="K26" s="3"/>
      <c r="L26" s="3"/>
      <c r="M26" s="3"/>
      <c r="N26" s="3"/>
      <c r="O26" s="3"/>
    </row>
    <row r="27" spans="1:15" ht="12.75">
      <c r="A27" s="14">
        <v>43584</v>
      </c>
      <c r="B27" s="14">
        <v>43590</v>
      </c>
      <c r="C27" s="15">
        <f>43/30*2+58/31*5</f>
        <v>12.221505376344085</v>
      </c>
      <c r="D27" s="15">
        <f>D26+E26+(C27-(C27/100*$B$6))-$B$8*7</f>
        <v>68.28817204301075</v>
      </c>
      <c r="E27" s="16">
        <f>IF(D27&lt;$B$11,IF(D27&lt;0,$B$10,$B$12-D27),0)</f>
        <v>0</v>
      </c>
      <c r="F27" s="16">
        <f>E27*$B$5</f>
        <v>0</v>
      </c>
      <c r="G27" s="3"/>
      <c r="H27" s="3"/>
      <c r="I27" s="3"/>
      <c r="J27" s="3"/>
      <c r="K27" s="3"/>
      <c r="L27" s="3"/>
      <c r="M27" s="3"/>
      <c r="N27" s="3"/>
      <c r="O27" s="3"/>
    </row>
    <row r="28" spans="1:15" ht="12.75" customHeight="1">
      <c r="A28" s="14">
        <v>43591</v>
      </c>
      <c r="B28" s="14">
        <v>43597</v>
      </c>
      <c r="C28" s="15">
        <f>58/30*7</f>
        <v>13.533333333333333</v>
      </c>
      <c r="D28" s="15">
        <f>D27+E27+(C28-(C28/100*$B$6))-$B$8*7</f>
        <v>53.82150537634408</v>
      </c>
      <c r="E28" s="16">
        <f>IF(D28&lt;$B$11,IF(D28&lt;0,$B$10,$B$12-D28),0)</f>
        <v>0</v>
      </c>
      <c r="F28" s="16">
        <f>E28*$B$5</f>
        <v>0</v>
      </c>
      <c r="G28" s="9" t="s">
        <v>27</v>
      </c>
      <c r="H28" s="9"/>
      <c r="I28" s="9"/>
      <c r="J28" s="9"/>
      <c r="K28" s="9"/>
      <c r="L28" s="9"/>
      <c r="M28" s="9"/>
      <c r="N28" s="9"/>
      <c r="O28" s="3"/>
    </row>
    <row r="29" spans="1:15" ht="12.75">
      <c r="A29" s="14">
        <v>43598</v>
      </c>
      <c r="B29" s="14">
        <v>43604</v>
      </c>
      <c r="C29" s="15">
        <f>58/30*7</f>
        <v>13.533333333333333</v>
      </c>
      <c r="D29" s="15">
        <f>D28+E28+(C29-(C29/100*$B$6))-$B$8*7</f>
        <v>39.35483870967741</v>
      </c>
      <c r="E29" s="16">
        <f>IF(D29&lt;$B$11,IF(D29&lt;0,$B$10,$B$12-D29),0)</f>
        <v>56.64516129032259</v>
      </c>
      <c r="F29" s="16">
        <f>E29*$B$5</f>
        <v>113.29032258064518</v>
      </c>
      <c r="G29" s="9"/>
      <c r="H29" s="9"/>
      <c r="I29" s="9"/>
      <c r="J29" s="9"/>
      <c r="K29" s="9"/>
      <c r="L29" s="9"/>
      <c r="M29" s="9"/>
      <c r="N29" s="9"/>
      <c r="O29" s="3"/>
    </row>
    <row r="30" spans="1:15" ht="12.75">
      <c r="A30" s="14">
        <v>43605</v>
      </c>
      <c r="B30" s="14">
        <v>43611</v>
      </c>
      <c r="C30" s="15">
        <f>58/30*7</f>
        <v>13.533333333333333</v>
      </c>
      <c r="D30" s="15">
        <f>D29+E29+(C30-(C30/100*$B$6))-$B$8*7</f>
        <v>81.53333333333333</v>
      </c>
      <c r="E30" s="16">
        <f>IF(D30&lt;$B$11,IF(D30&lt;0,$B$10,$B$12-D30),0)</f>
        <v>0</v>
      </c>
      <c r="F30" s="16">
        <f>E30*$B$5</f>
        <v>0</v>
      </c>
      <c r="G30" s="9"/>
      <c r="H30" s="9"/>
      <c r="I30" s="9"/>
      <c r="J30" s="9"/>
      <c r="K30" s="9"/>
      <c r="L30" s="9"/>
      <c r="M30" s="9"/>
      <c r="N30" s="9"/>
      <c r="O30" s="3"/>
    </row>
    <row r="31" spans="1:15" ht="12.75">
      <c r="A31" s="14">
        <v>43612</v>
      </c>
      <c r="B31" s="14">
        <v>43618</v>
      </c>
      <c r="C31" s="15">
        <f>58/30*5+74/30*2</f>
        <v>14.6</v>
      </c>
      <c r="D31" s="15">
        <f>D30+E30+(C31-(C31/100*$B$6))-$B$8*7</f>
        <v>68.13333333333333</v>
      </c>
      <c r="E31" s="16">
        <f>IF(D31&lt;$B$11,IF(D31&lt;0,$B$10,$B$12-D31),0)</f>
        <v>0</v>
      </c>
      <c r="F31" s="16">
        <f>E31*$B$5</f>
        <v>0</v>
      </c>
      <c r="G31" s="9"/>
      <c r="H31" s="9"/>
      <c r="I31" s="9"/>
      <c r="J31" s="9"/>
      <c r="K31" s="9"/>
      <c r="L31" s="9"/>
      <c r="M31" s="9"/>
      <c r="N31" s="9"/>
      <c r="O31" s="3"/>
    </row>
    <row r="32" spans="1:15" ht="12.75">
      <c r="A32" s="14">
        <v>43619</v>
      </c>
      <c r="B32" s="14">
        <v>43625</v>
      </c>
      <c r="C32" s="15">
        <f>74/30*7</f>
        <v>17.266666666666666</v>
      </c>
      <c r="D32" s="15">
        <f>D31+E31+(C32-(C32/100*$B$6))-$B$8*7</f>
        <v>57.39999999999999</v>
      </c>
      <c r="E32" s="16">
        <f>IF(D32&lt;$B$11,IF(D32&lt;0,$B$10,$B$12-D32),0)</f>
        <v>0</v>
      </c>
      <c r="F32" s="16">
        <f>E32*$B$5</f>
        <v>0</v>
      </c>
      <c r="G32" s="9"/>
      <c r="H32" s="9"/>
      <c r="I32" s="9"/>
      <c r="J32" s="9"/>
      <c r="K32" s="9"/>
      <c r="L32" s="9"/>
      <c r="M32" s="9"/>
      <c r="N32" s="9"/>
      <c r="O32" s="3"/>
    </row>
    <row r="33" spans="1:15" ht="12.75">
      <c r="A33" s="14">
        <v>43626</v>
      </c>
      <c r="B33" s="14">
        <v>43632</v>
      </c>
      <c r="C33" s="15">
        <f>74/30*7</f>
        <v>17.266666666666666</v>
      </c>
      <c r="D33" s="15">
        <f>D32+E32+(C33-(C33/100*$B$6))-$B$8*7</f>
        <v>46.66666666666666</v>
      </c>
      <c r="E33" s="16">
        <f>IF(D33&lt;$B$11,IF(D33&lt;0,$B$10,$B$12-D33),0)</f>
        <v>49.33333333333334</v>
      </c>
      <c r="F33" s="16">
        <f>E33*$B$5</f>
        <v>98.66666666666669</v>
      </c>
      <c r="G33" s="9"/>
      <c r="H33" s="9"/>
      <c r="I33" s="9"/>
      <c r="J33" s="9"/>
      <c r="K33" s="9"/>
      <c r="L33" s="9"/>
      <c r="M33" s="9"/>
      <c r="N33" s="9"/>
      <c r="O33" s="3"/>
    </row>
    <row r="34" spans="1:15" ht="12.75">
      <c r="A34" s="14">
        <v>43633</v>
      </c>
      <c r="B34" s="14">
        <v>43639</v>
      </c>
      <c r="C34" s="15">
        <f>74/30*7</f>
        <v>17.266666666666666</v>
      </c>
      <c r="D34" s="15">
        <f>D33+E33+(C34-(C34/100*$B$6))-$B$8*7</f>
        <v>85.26666666666667</v>
      </c>
      <c r="E34" s="16">
        <f>IF(D34&lt;$B$11,IF(D34&lt;0,$B$10,$B$12-D34),0)</f>
        <v>0</v>
      </c>
      <c r="F34" s="16">
        <f>E34*$B$5</f>
        <v>0</v>
      </c>
      <c r="G34" s="9"/>
      <c r="H34" s="9"/>
      <c r="I34" s="9"/>
      <c r="J34" s="9"/>
      <c r="K34" s="9"/>
      <c r="L34" s="9"/>
      <c r="M34" s="9"/>
      <c r="N34" s="9"/>
      <c r="O34" s="3"/>
    </row>
    <row r="35" spans="1:15" ht="12.75">
      <c r="A35" s="14">
        <v>43640</v>
      </c>
      <c r="B35" s="14">
        <v>43646</v>
      </c>
      <c r="C35" s="15">
        <f>74/30*7</f>
        <v>17.266666666666666</v>
      </c>
      <c r="D35" s="15">
        <f>D34+E34+(C35-(C35/100*$B$6))-$B$8*7</f>
        <v>74.53333333333333</v>
      </c>
      <c r="E35" s="16">
        <f>IF(D35&lt;$B$11,IF(D35&lt;0,$B$10,$B$12-D35),0)</f>
        <v>0</v>
      </c>
      <c r="F35" s="16">
        <f>E35*$B$5</f>
        <v>0</v>
      </c>
      <c r="G35" s="9"/>
      <c r="H35" s="9"/>
      <c r="I35" s="9"/>
      <c r="J35" s="9"/>
      <c r="K35" s="9"/>
      <c r="L35" s="9"/>
      <c r="M35" s="9"/>
      <c r="N35" s="9"/>
      <c r="O35" s="3"/>
    </row>
    <row r="36" spans="1:14" ht="12.75">
      <c r="A36" s="14">
        <v>43647</v>
      </c>
      <c r="B36" s="14">
        <v>43653</v>
      </c>
      <c r="C36" s="15">
        <f>60/31*7</f>
        <v>13.548387096774194</v>
      </c>
      <c r="D36" s="15">
        <f>D35+E35+(C36-(C36/100*$B$6))-$B$8*7</f>
        <v>60.081720430107524</v>
      </c>
      <c r="E36" s="16">
        <f>IF(D36&lt;$B$11,IF(D36&lt;0,$B$10,$B$12-D36),0)</f>
        <v>0</v>
      </c>
      <c r="F36" s="16">
        <f>E36*$B$5</f>
        <v>0</v>
      </c>
      <c r="G36" s="9"/>
      <c r="H36" s="9"/>
      <c r="I36" s="9"/>
      <c r="J36" s="9"/>
      <c r="K36" s="9"/>
      <c r="L36" s="9"/>
      <c r="M36" s="9"/>
      <c r="N36" s="9"/>
    </row>
    <row r="37" spans="1:6" ht="12.75">
      <c r="A37" s="14">
        <v>43654</v>
      </c>
      <c r="B37" s="14">
        <v>43660</v>
      </c>
      <c r="C37" s="15">
        <f>60/31*7</f>
        <v>13.548387096774194</v>
      </c>
      <c r="D37" s="15">
        <f>D36+E36+(C37-(C37/100*$B$6))-$B$8*7</f>
        <v>45.630107526881716</v>
      </c>
      <c r="E37" s="16">
        <f>IF(D37&lt;$B$11,IF(D37&lt;0,$B$10,$B$12-D37),0)</f>
        <v>50.369892473118284</v>
      </c>
      <c r="F37" s="16">
        <f>E37*$B$5</f>
        <v>100.73978494623657</v>
      </c>
    </row>
    <row r="38" spans="1:6" ht="12.75">
      <c r="A38" s="14">
        <v>43661</v>
      </c>
      <c r="B38" s="14">
        <v>43667</v>
      </c>
      <c r="C38" s="15">
        <f>60/31*7</f>
        <v>13.548387096774194</v>
      </c>
      <c r="D38" s="15">
        <f>D37+E37+(C38-(C38/100*$B$6))-$B$8*7</f>
        <v>81.54838709677419</v>
      </c>
      <c r="E38" s="16">
        <f>IF(D38&lt;$B$11,IF(D38&lt;0,$B$10,$B$12-D38),0)</f>
        <v>0</v>
      </c>
      <c r="F38" s="16">
        <f>E38*$B$5</f>
        <v>0</v>
      </c>
    </row>
    <row r="39" spans="1:6" ht="12.75">
      <c r="A39" s="14">
        <v>43668</v>
      </c>
      <c r="B39" s="14">
        <v>43674</v>
      </c>
      <c r="C39" s="15">
        <f>60/31*7</f>
        <v>13.548387096774194</v>
      </c>
      <c r="D39" s="15">
        <f>D38+E38+(C39-(C39/100*$B$6))-$B$8*7</f>
        <v>67.09677419354838</v>
      </c>
      <c r="E39" s="16">
        <f>IF(D39&lt;$B$11,IF(D39&lt;0,$B$10,$B$12-D39),0)</f>
        <v>0</v>
      </c>
      <c r="F39" s="16">
        <f>E39*$B$5</f>
        <v>0</v>
      </c>
    </row>
    <row r="40" spans="1:6" ht="15.75" customHeight="1">
      <c r="A40" s="14">
        <v>43675</v>
      </c>
      <c r="B40" s="14">
        <v>43681</v>
      </c>
      <c r="C40" s="15">
        <f>60/31*3+55/31*4</f>
        <v>12.903225806451612</v>
      </c>
      <c r="D40" s="15">
        <f>D39+E39+(C40-(C40/100*$B$6))-$B$8*7</f>
        <v>52</v>
      </c>
      <c r="E40" s="16">
        <f>IF(D40&lt;$B$11,IF(D40&lt;0,$B$10,$B$12-D40),0)</f>
        <v>0</v>
      </c>
      <c r="F40" s="16">
        <f>E40*$B$5</f>
        <v>0</v>
      </c>
    </row>
    <row r="41" spans="1:6" ht="15.75" customHeight="1">
      <c r="A41" s="14">
        <v>43682</v>
      </c>
      <c r="B41" s="14">
        <v>43688</v>
      </c>
      <c r="C41" s="15">
        <f>55/31*7</f>
        <v>12.419354838709678</v>
      </c>
      <c r="D41" s="15">
        <f>D40+E40+(C41-(C41/100*$B$6))-$B$8*7</f>
        <v>36.41935483870968</v>
      </c>
      <c r="E41" s="16">
        <f>IF(D41&lt;$B$11,IF(D41&lt;0,$B$10,$B$12-D41),0)</f>
        <v>59.58064516129032</v>
      </c>
      <c r="F41" s="16">
        <f>E41*$B$5</f>
        <v>119.16129032258064</v>
      </c>
    </row>
    <row r="42" spans="1:6" ht="15.75" customHeight="1">
      <c r="A42" s="14">
        <v>43689</v>
      </c>
      <c r="B42" s="14">
        <v>43695</v>
      </c>
      <c r="C42" s="15">
        <f>55/31*7</f>
        <v>12.419354838709678</v>
      </c>
      <c r="D42" s="15">
        <f>D41+E41+(C42-(C42/100*$B$6))-$B$8*7</f>
        <v>80.41935483870968</v>
      </c>
      <c r="E42" s="16">
        <f>IF(D42&lt;$B$11,IF(D42&lt;0,$B$10,$B$12-D42),0)</f>
        <v>0</v>
      </c>
      <c r="F42" s="16">
        <f>E42*$B$5</f>
        <v>0</v>
      </c>
    </row>
    <row r="43" spans="1:6" ht="15.75" customHeight="1">
      <c r="A43" s="14">
        <v>43696</v>
      </c>
      <c r="B43" s="14">
        <v>43702</v>
      </c>
      <c r="C43" s="15">
        <f>55/31*7</f>
        <v>12.419354838709678</v>
      </c>
      <c r="D43" s="15">
        <f>D42+E42+(C43-(C43/100*$B$6))-$B$8*7</f>
        <v>64.83870967741936</v>
      </c>
      <c r="E43" s="16">
        <f>IF(D43&lt;$B$11,IF(D43&lt;0,$B$10,$B$12-D43),0)</f>
        <v>0</v>
      </c>
      <c r="F43" s="16">
        <f>E43*$B$5</f>
        <v>0</v>
      </c>
    </row>
    <row r="44" spans="1:6" ht="15.75" customHeight="1">
      <c r="A44" s="14">
        <v>43703</v>
      </c>
      <c r="B44" s="14">
        <v>43709</v>
      </c>
      <c r="C44" s="15">
        <f>55/31*6+52/30</f>
        <v>12.378494623655914</v>
      </c>
      <c r="D44" s="15">
        <f>D43+E43+(C44-(C44/100*$B$6))-$B$8*7</f>
        <v>49.21720430107527</v>
      </c>
      <c r="E44" s="16">
        <f>IF(D44&lt;$B$11,IF(D44&lt;0,$B$10,$B$12-D44),0)</f>
        <v>0</v>
      </c>
      <c r="F44" s="16">
        <f>E44*$B$5</f>
        <v>0</v>
      </c>
    </row>
    <row r="45" spans="1:6" ht="15.75" customHeight="1">
      <c r="A45" s="14">
        <v>43710</v>
      </c>
      <c r="B45" s="14">
        <v>43716</v>
      </c>
      <c r="C45" s="15">
        <f>52/30*7</f>
        <v>12.133333333333333</v>
      </c>
      <c r="D45" s="15">
        <f>D44+E44+(C45-(C45/100*$B$6))-$B$8*7</f>
        <v>33.3505376344086</v>
      </c>
      <c r="E45" s="16">
        <f>IF(D45&lt;$B$11,IF(D45&lt;0,$B$10,$B$12-D45),0)</f>
        <v>62.6494623655914</v>
      </c>
      <c r="F45" s="16">
        <f>E45*$B$5</f>
        <v>125.2989247311828</v>
      </c>
    </row>
    <row r="46" spans="1:6" ht="15.75" customHeight="1">
      <c r="A46" s="14">
        <v>43717</v>
      </c>
      <c r="B46" s="14">
        <v>43723</v>
      </c>
      <c r="C46" s="15">
        <f>52/30*7</f>
        <v>12.133333333333333</v>
      </c>
      <c r="D46" s="15">
        <f>D45+E45+(C46-(C46/100*$B$6))-$B$8*7</f>
        <v>80.13333333333333</v>
      </c>
      <c r="E46" s="16">
        <f>IF(D46&lt;$B$11,IF(D46&lt;0,$B$10,$B$12-D46),0)</f>
        <v>0</v>
      </c>
      <c r="F46" s="16">
        <f>E46*$B$5</f>
        <v>0</v>
      </c>
    </row>
    <row r="47" spans="1:6" ht="15.75" customHeight="1">
      <c r="A47" s="14">
        <v>43724</v>
      </c>
      <c r="B47" s="14">
        <v>43730</v>
      </c>
      <c r="C47" s="15">
        <f>52/30*7</f>
        <v>12.133333333333333</v>
      </c>
      <c r="D47" s="15">
        <f>D46+E46+(C47-(C47/100*$B$6))-$B$8*7</f>
        <v>64.26666666666665</v>
      </c>
      <c r="E47" s="16">
        <f>IF(D47&lt;$B$11,IF(D47&lt;0,$B$10,$B$12-D47),0)</f>
        <v>0</v>
      </c>
      <c r="F47" s="16">
        <f>E47*$B$5</f>
        <v>0</v>
      </c>
    </row>
    <row r="48" spans="1:6" ht="15.75" customHeight="1">
      <c r="A48" s="14">
        <v>43731</v>
      </c>
      <c r="B48" s="14">
        <v>43737</v>
      </c>
      <c r="C48" s="15">
        <f>52/30*7</f>
        <v>12.133333333333333</v>
      </c>
      <c r="D48" s="15">
        <f>D47+E47+(C48-(C48/100*$B$6))-$B$8*7</f>
        <v>48.39999999999998</v>
      </c>
      <c r="E48" s="16">
        <f>IF(D48&lt;$B$11,IF(D48&lt;0,$B$10,$B$12-D48),0)</f>
        <v>0</v>
      </c>
      <c r="F48" s="16">
        <f>E48*$B$5</f>
        <v>0</v>
      </c>
    </row>
    <row r="49" spans="1:6" ht="12.75">
      <c r="A49" s="14">
        <v>43738</v>
      </c>
      <c r="B49" s="14">
        <v>43744</v>
      </c>
      <c r="C49" s="15">
        <f>52/30*1+44/31*6</f>
        <v>10.249462365591398</v>
      </c>
      <c r="D49" s="15">
        <f>D48+E48+(C49-(C49/100*$B$6))-$B$8*7</f>
        <v>30.649462365591376</v>
      </c>
      <c r="E49" s="16">
        <f>IF(D49&lt;$B$11,IF(D49&lt;0,$B$10,$B$12-D49),0)</f>
        <v>65.35053763440862</v>
      </c>
      <c r="F49" s="16">
        <f>E49*$B$5</f>
        <v>130.70107526881725</v>
      </c>
    </row>
    <row r="50" spans="1:6" ht="12.75" customHeight="1">
      <c r="A50" s="17" t="s">
        <v>28</v>
      </c>
      <c r="B50" s="17"/>
      <c r="C50" s="18">
        <f>SUM(C25:C49)</f>
        <v>332.0709677419355</v>
      </c>
      <c r="D50" s="18"/>
      <c r="E50" s="19">
        <f>SUM(E25:E49)</f>
        <v>343.9290322580646</v>
      </c>
      <c r="F50" s="19">
        <f>SUM(F25:F49)</f>
        <v>687.8580645161292</v>
      </c>
    </row>
    <row r="51" spans="3:6" ht="12.75">
      <c r="C51" s="20"/>
      <c r="D51" s="20"/>
      <c r="E51" s="20"/>
      <c r="F51" s="20"/>
    </row>
  </sheetData>
  <sheetProtection selectLockedCells="1" selectUnlockedCells="1"/>
  <mergeCells count="9">
    <mergeCell ref="A4:D4"/>
    <mergeCell ref="E10:F10"/>
    <mergeCell ref="A16:F16"/>
    <mergeCell ref="A17:F17"/>
    <mergeCell ref="A20:F20"/>
    <mergeCell ref="A21:F21"/>
    <mergeCell ref="A24:B24"/>
    <mergeCell ref="G28:N36"/>
    <mergeCell ref="A50:B50"/>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Katharina Weltecke</dc:creator>
  <cp:keywords/>
  <dc:description/>
  <cp:lastModifiedBy>Katharina Weltecke</cp:lastModifiedBy>
  <dcterms:created xsi:type="dcterms:W3CDTF">2017-12-07T07:35:40Z</dcterms:created>
  <dcterms:modified xsi:type="dcterms:W3CDTF">2021-11-20T12:40:43Z</dcterms:modified>
  <cp:category/>
  <cp:version/>
  <cp:contentType/>
  <cp:contentStatus/>
  <cp:revision>10</cp:revision>
</cp:coreProperties>
</file>